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1720" yWindow="0" windowWidth="25600" windowHeight="13780" tabRatio="500"/>
  </bookViews>
  <sheets>
    <sheet name="Retirement Planning Calculator" sheetId="1" r:id="rId1"/>
    <sheet name="Sheet1" sheetId="2" state="hidden" r:id="rId2"/>
    <sheet name="9 Scenario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3" l="1"/>
  <c r="I23" i="1"/>
  <c r="I24" i="1"/>
  <c r="E3" i="3"/>
  <c r="I35" i="1"/>
  <c r="I36" i="1"/>
  <c r="E4" i="3"/>
  <c r="I11" i="1"/>
  <c r="I12" i="1"/>
  <c r="I15" i="1"/>
  <c r="I18" i="1"/>
  <c r="G9" i="2"/>
  <c r="K9" i="2"/>
  <c r="H15" i="2"/>
  <c r="H21" i="2"/>
  <c r="H27" i="2"/>
  <c r="F13" i="3"/>
  <c r="G15" i="2"/>
  <c r="G21" i="2"/>
  <c r="G27" i="2"/>
  <c r="E13" i="3"/>
  <c r="F15" i="2"/>
  <c r="F21" i="2"/>
  <c r="F27" i="2"/>
  <c r="D13" i="3"/>
  <c r="H14" i="2"/>
  <c r="H20" i="2"/>
  <c r="H26" i="2"/>
  <c r="F12" i="3"/>
  <c r="G14" i="2"/>
  <c r="G20" i="2"/>
  <c r="G26" i="2"/>
  <c r="E12" i="3"/>
  <c r="F14" i="2"/>
  <c r="F20" i="2"/>
  <c r="F26" i="2"/>
  <c r="D12" i="3"/>
  <c r="H13" i="2"/>
  <c r="H19" i="2"/>
  <c r="H25" i="2"/>
  <c r="F11" i="3"/>
  <c r="G13" i="2"/>
  <c r="G19" i="2"/>
  <c r="G25" i="2"/>
  <c r="E11" i="3"/>
  <c r="F13" i="2"/>
  <c r="F19" i="2"/>
  <c r="F25" i="2"/>
  <c r="D11" i="3"/>
  <c r="Q1" i="1"/>
  <c r="R1" i="1"/>
  <c r="I38" i="1"/>
  <c r="I39" i="1"/>
  <c r="H7" i="2"/>
  <c r="H6" i="2"/>
  <c r="H5" i="2"/>
  <c r="G7" i="2"/>
  <c r="G6" i="2"/>
  <c r="G5" i="2"/>
  <c r="F7" i="2"/>
  <c r="F6" i="2"/>
  <c r="F5" i="2"/>
  <c r="A46" i="1"/>
  <c r="A47" i="1"/>
  <c r="A48" i="1"/>
  <c r="A49" i="1"/>
  <c r="I6" i="1"/>
  <c r="P1" i="1"/>
  <c r="I7" i="1"/>
  <c r="I31" i="1"/>
  <c r="M41" i="1"/>
  <c r="M42" i="1"/>
  <c r="M43" i="1"/>
  <c r="M44" i="1"/>
  <c r="H23" i="1"/>
</calcChain>
</file>

<file path=xl/sharedStrings.xml><?xml version="1.0" encoding="utf-8"?>
<sst xmlns="http://schemas.openxmlformats.org/spreadsheetml/2006/main" count="108" uniqueCount="87">
  <si>
    <t>Number of retirement years to provide for</t>
  </si>
  <si>
    <t>Annual Income required immediately after retirement</t>
  </si>
  <si>
    <t>Post retirement investment return</t>
  </si>
  <si>
    <t>Discount factor for retirement years</t>
  </si>
  <si>
    <t>(post tax)</t>
  </si>
  <si>
    <t>Current age</t>
  </si>
  <si>
    <t>yrs</t>
  </si>
  <si>
    <t>Retirement age</t>
  </si>
  <si>
    <t>Life expectancy</t>
  </si>
  <si>
    <t>www.vipinkhandelwal.com</t>
  </si>
  <si>
    <t>pension, rental, etc.</t>
  </si>
  <si>
    <t>Inflation rate (pre-retirement)</t>
  </si>
  <si>
    <t>Inflation rate (post-retirement)</t>
  </si>
  <si>
    <t>Year 2</t>
  </si>
  <si>
    <t>Notes</t>
  </si>
  <si>
    <t>value as of today</t>
  </si>
  <si>
    <t>average</t>
  </si>
  <si>
    <t>(Fill inputs in the yellow marked cells ONLY)</t>
  </si>
  <si>
    <t>There are two inflation points to enter - one is average for pre-retirement period and the other for post- retirement period. They can be the same too.</t>
  </si>
  <si>
    <t>Don’t be aggressive with the assumption on returns either pre retirement or post retirement.</t>
  </si>
  <si>
    <t>Plan for a longer life expectancy.</t>
  </si>
  <si>
    <t>In the first year, you need to save</t>
  </si>
  <si>
    <t>Investments you have already made for your retirement</t>
  </si>
  <si>
    <t>You will increase you investments every year by</t>
  </si>
  <si>
    <t>The average return you will earn on your investments till your retirement</t>
  </si>
  <si>
    <t>Total Retirement fund you would need at age</t>
  </si>
  <si>
    <t>Number of years left for your retirement</t>
  </si>
  <si>
    <t>crores</t>
  </si>
  <si>
    <t>In the first year, you need to save monthly</t>
  </si>
  <si>
    <t>Year 3</t>
  </si>
  <si>
    <t>Year 4</t>
  </si>
  <si>
    <t>Year 5</t>
  </si>
  <si>
    <t>Monthly Savings</t>
  </si>
  <si>
    <t>Annual expenses on Medical, Travel, Other expenses</t>
  </si>
  <si>
    <t>Monthly Expense to provide for in retirement years</t>
  </si>
  <si>
    <t>Annual Expenses to provide for in retirement years</t>
  </si>
  <si>
    <t>Total Annual Expenses to provide for in retirement years</t>
  </si>
  <si>
    <t>Monthly income expected post retirement</t>
  </si>
  <si>
    <t>Gratuity, Superannuation,PF, etc.</t>
  </si>
  <si>
    <t>Rate of return expected on this investment</t>
  </si>
  <si>
    <t>Balance funds to be accumulated for retirement</t>
  </si>
  <si>
    <t>The savings per month should be increased by the percentage specified.</t>
  </si>
  <si>
    <t>Value of these investments at retirement</t>
  </si>
  <si>
    <t>Any other funds that you will receive on retirement</t>
  </si>
  <si>
    <t>Regular monthly expenses post retirement</t>
  </si>
  <si>
    <t>Comprehensive Retirement Fund Planning Calculator</t>
  </si>
  <si>
    <t>This calculator assumes that you will exhaust all your funds at the end of your retirement period.</t>
  </si>
  <si>
    <t>v3.0 released on May 31, 2016</t>
  </si>
  <si>
    <t>Rate of returns</t>
  </si>
  <si>
    <t>Increase</t>
  </si>
  <si>
    <t>investments</t>
  </si>
  <si>
    <t>in</t>
  </si>
  <si>
    <t>Retirement Funds to be built</t>
  </si>
  <si>
    <t>No. of years to retirment</t>
  </si>
  <si>
    <t xml:space="preserve">Annual </t>
  </si>
  <si>
    <t>Savings</t>
  </si>
  <si>
    <t>Discounting</t>
  </si>
  <si>
    <t>Factor</t>
  </si>
  <si>
    <t>Monthly</t>
  </si>
  <si>
    <t xml:space="preserve"> Savings</t>
  </si>
  <si>
    <t>Average rate of return (pre-retirement)</t>
  </si>
  <si>
    <t>Annual</t>
  </si>
  <si>
    <t>Increase in</t>
  </si>
  <si>
    <t>Avg. Annual</t>
  </si>
  <si>
    <t>SAVINGS REQUIRED</t>
  </si>
  <si>
    <t>PER MONTH 1ST YEAR</t>
  </si>
  <si>
    <t>Major Fixed income Investments</t>
  </si>
  <si>
    <t>Equal Mix of Fixed Income &amp; Equity</t>
  </si>
  <si>
    <t>Major Equity Investments</t>
  </si>
  <si>
    <t>9 Scenarios for Retirement Savings</t>
  </si>
  <si>
    <t>Balance funds to be saved for retirement</t>
  </si>
  <si>
    <t>Total funds to be saved for retirement</t>
  </si>
  <si>
    <t>Expected Avg rate of return (pre-retirement)</t>
  </si>
  <si>
    <t>DO NOT MAKE ANY CHANGES TO THIS SHEET</t>
  </si>
  <si>
    <t>Time to Retire</t>
  </si>
  <si>
    <t>years</t>
  </si>
  <si>
    <t>The 9 scenarios are a combination of Expected rate of return on investments and the rate of increase in savings at which you can add every year to the investments.</t>
  </si>
  <si>
    <t>NOTES</t>
  </si>
  <si>
    <t>The savings scenarios are for the accumulation of the balance funds to be saved for retirement</t>
  </si>
  <si>
    <t xml:space="preserve">Fixed Income predominantly represents EPF and PPF with some portion in Bank FDs, Post Office Schemes, etc. </t>
  </si>
  <si>
    <t>The expectations of returns can change over time. The current expectations are based on today's scenario.</t>
  </si>
  <si>
    <t>Aggressive</t>
  </si>
  <si>
    <t>Moderate</t>
  </si>
  <si>
    <t>Conservative</t>
  </si>
  <si>
    <t>Risk Profile</t>
  </si>
  <si>
    <t>Investment Mix</t>
  </si>
  <si>
    <t>Retirement fund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</si>
</sst>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₹&quot;\ #,##0;[Red]\-&quot;₹&quot;\ #,##0"/>
    <numFmt numFmtId="8" formatCode="&quot;₹&quot;\ #,##0.00;[Red]\-&quot;₹&quot;\ #,##0.00"/>
    <numFmt numFmtId="43" formatCode="_-* #,##0.00_-;\-* #,##0.00_-;_-* &quot;-&quot;??_-;_-@_-"/>
    <numFmt numFmtId="164" formatCode="&quot;₹&quot;\ #,##0;[Red]&quot;₹&quot;\ #,##0"/>
    <numFmt numFmtId="165" formatCode="0.0%"/>
    <numFmt numFmtId="167" formatCode="_-* #,##0_-;\-* #,##0_-;_-* &quot;-&quot;??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scheme val="minor"/>
    </font>
    <font>
      <i/>
      <sz val="14"/>
      <color theme="1"/>
      <name val="Calibri"/>
      <scheme val="minor"/>
    </font>
    <font>
      <b/>
      <sz val="14"/>
      <color theme="0"/>
      <name val="Calibri"/>
      <scheme val="minor"/>
    </font>
    <font>
      <b/>
      <sz val="18"/>
      <color theme="1"/>
      <name val="Calibri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20"/>
      <color theme="1"/>
      <name val="Calibri"/>
      <scheme val="minor"/>
    </font>
    <font>
      <sz val="20"/>
      <color theme="1"/>
      <name val="Calibri"/>
      <scheme val="minor"/>
    </font>
    <font>
      <i/>
      <sz val="20"/>
      <color theme="1"/>
      <name val="Calibri"/>
      <scheme val="minor"/>
    </font>
    <font>
      <b/>
      <sz val="16"/>
      <color theme="0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4"/>
      <name val="Calibri"/>
      <scheme val="minor"/>
    </font>
    <font>
      <sz val="14"/>
      <name val="Calibri"/>
      <scheme val="minor"/>
    </font>
    <font>
      <sz val="14"/>
      <color theme="0"/>
      <name val="Calibri"/>
      <scheme val="minor"/>
    </font>
    <font>
      <b/>
      <sz val="14"/>
      <color theme="8" tint="-0.499984740745262"/>
      <name val="Calibri"/>
      <scheme val="minor"/>
    </font>
    <font>
      <b/>
      <sz val="20"/>
      <color theme="8" tint="-0.49998474074526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4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7" fillId="3" borderId="0" xfId="0" applyFont="1" applyFill="1"/>
    <xf numFmtId="0" fontId="8" fillId="3" borderId="0" xfId="0" applyFont="1" applyFill="1"/>
    <xf numFmtId="0" fontId="0" fillId="3" borderId="0" xfId="0" applyFont="1" applyFill="1"/>
    <xf numFmtId="0" fontId="5" fillId="3" borderId="0" xfId="22" applyFont="1" applyFill="1"/>
    <xf numFmtId="8" fontId="0" fillId="3" borderId="0" xfId="0" applyNumberFormat="1" applyFont="1" applyFill="1"/>
    <xf numFmtId="0" fontId="7" fillId="2" borderId="0" xfId="0" applyFont="1" applyFill="1"/>
    <xf numFmtId="0" fontId="10" fillId="3" borderId="0" xfId="0" applyFont="1" applyFill="1"/>
    <xf numFmtId="164" fontId="10" fillId="3" borderId="0" xfId="0" applyNumberFormat="1" applyFont="1" applyFill="1"/>
    <xf numFmtId="6" fontId="10" fillId="2" borderId="0" xfId="1" applyNumberFormat="1" applyFont="1" applyFill="1"/>
    <xf numFmtId="164" fontId="8" fillId="3" borderId="0" xfId="0" applyNumberFormat="1" applyFont="1" applyFill="1"/>
    <xf numFmtId="6" fontId="8" fillId="4" borderId="0" xfId="0" applyNumberFormat="1" applyFont="1" applyFill="1"/>
    <xf numFmtId="0" fontId="11" fillId="3" borderId="0" xfId="0" applyFont="1" applyFill="1"/>
    <xf numFmtId="9" fontId="10" fillId="2" borderId="0" xfId="0" applyNumberFormat="1" applyFont="1" applyFill="1"/>
    <xf numFmtId="0" fontId="10" fillId="2" borderId="0" xfId="0" applyFont="1" applyFill="1"/>
    <xf numFmtId="0" fontId="10" fillId="4" borderId="0" xfId="0" applyFont="1" applyFill="1"/>
    <xf numFmtId="6" fontId="8" fillId="2" borderId="0" xfId="0" applyNumberFormat="1" applyFont="1" applyFill="1"/>
    <xf numFmtId="0" fontId="13" fillId="3" borderId="0" xfId="0" applyFont="1" applyFill="1"/>
    <xf numFmtId="0" fontId="9" fillId="5" borderId="0" xfId="0" applyFont="1" applyFill="1" applyAlignment="1">
      <alignment horizontal="center"/>
    </xf>
    <xf numFmtId="6" fontId="3" fillId="6" borderId="0" xfId="0" applyNumberFormat="1" applyFont="1" applyFill="1"/>
    <xf numFmtId="165" fontId="10" fillId="2" borderId="0" xfId="0" applyNumberFormat="1" applyFont="1" applyFill="1"/>
    <xf numFmtId="0" fontId="12" fillId="7" borderId="0" xfId="0" applyFont="1" applyFill="1" applyAlignment="1">
      <alignment horizontal="center"/>
    </xf>
    <xf numFmtId="0" fontId="4" fillId="6" borderId="0" xfId="0" applyFont="1" applyFill="1"/>
    <xf numFmtId="43" fontId="4" fillId="6" borderId="0" xfId="1" applyFont="1" applyFill="1"/>
    <xf numFmtId="10" fontId="4" fillId="6" borderId="0" xfId="111" applyNumberFormat="1" applyFont="1" applyFill="1"/>
    <xf numFmtId="0" fontId="15" fillId="3" borderId="0" xfId="0" applyFont="1" applyFill="1"/>
    <xf numFmtId="0" fontId="16" fillId="3" borderId="0" xfId="0" applyFont="1" applyFill="1"/>
    <xf numFmtId="1" fontId="15" fillId="6" borderId="0" xfId="0" applyNumberFormat="1" applyFont="1" applyFill="1" applyAlignment="1">
      <alignment horizontal="left"/>
    </xf>
    <xf numFmtId="0" fontId="17" fillId="3" borderId="0" xfId="0" applyFont="1" applyFill="1"/>
    <xf numFmtId="0" fontId="18" fillId="3" borderId="0" xfId="0" applyFont="1" applyFill="1"/>
    <xf numFmtId="6" fontId="17" fillId="4" borderId="0" xfId="0" applyNumberFormat="1" applyFont="1" applyFill="1"/>
    <xf numFmtId="8" fontId="17" fillId="4" borderId="0" xfId="0" applyNumberFormat="1" applyFont="1" applyFill="1"/>
    <xf numFmtId="0" fontId="19" fillId="3" borderId="0" xfId="0" applyFont="1" applyFill="1"/>
    <xf numFmtId="164" fontId="15" fillId="3" borderId="0" xfId="0" applyNumberFormat="1" applyFont="1" applyFill="1"/>
    <xf numFmtId="164" fontId="17" fillId="3" borderId="0" xfId="0" applyNumberFormat="1" applyFont="1" applyFill="1"/>
    <xf numFmtId="6" fontId="17" fillId="4" borderId="0" xfId="1" applyNumberFormat="1" applyFont="1" applyFill="1"/>
    <xf numFmtId="6" fontId="20" fillId="5" borderId="0" xfId="0" applyNumberFormat="1" applyFont="1" applyFill="1"/>
    <xf numFmtId="9" fontId="8" fillId="2" borderId="0" xfId="0" applyNumberFormat="1" applyFont="1" applyFill="1"/>
    <xf numFmtId="9" fontId="0" fillId="0" borderId="0" xfId="111" applyFont="1"/>
    <xf numFmtId="9" fontId="3" fillId="0" borderId="0" xfId="0" applyNumberFormat="1" applyFont="1"/>
    <xf numFmtId="6" fontId="0" fillId="0" borderId="0" xfId="0" applyNumberFormat="1"/>
    <xf numFmtId="0" fontId="3" fillId="0" borderId="0" xfId="0" applyFont="1"/>
    <xf numFmtId="43" fontId="0" fillId="0" borderId="0" xfId="1" applyFont="1"/>
    <xf numFmtId="167" fontId="0" fillId="0" borderId="0" xfId="1" applyNumberFormat="1" applyFont="1"/>
    <xf numFmtId="0" fontId="3" fillId="0" borderId="0" xfId="0" applyFont="1" applyAlignment="1">
      <alignment horizontal="center"/>
    </xf>
    <xf numFmtId="0" fontId="21" fillId="3" borderId="0" xfId="0" applyFont="1" applyFill="1"/>
    <xf numFmtId="0" fontId="23" fillId="3" borderId="0" xfId="0" applyFont="1" applyFill="1"/>
    <xf numFmtId="0" fontId="12" fillId="5" borderId="2" xfId="0" applyFont="1" applyFill="1" applyBorder="1"/>
    <xf numFmtId="0" fontId="25" fillId="5" borderId="2" xfId="0" applyFont="1" applyFill="1" applyBorder="1"/>
    <xf numFmtId="0" fontId="25" fillId="5" borderId="3" xfId="0" applyFont="1" applyFill="1" applyBorder="1"/>
    <xf numFmtId="9" fontId="26" fillId="8" borderId="0" xfId="0" applyNumberFormat="1" applyFont="1" applyFill="1" applyBorder="1"/>
    <xf numFmtId="164" fontId="24" fillId="3" borderId="0" xfId="1" applyNumberFormat="1" applyFont="1" applyFill="1" applyBorder="1"/>
    <xf numFmtId="164" fontId="24" fillId="6" borderId="0" xfId="1" applyNumberFormat="1" applyFont="1" applyFill="1" applyBorder="1"/>
    <xf numFmtId="164" fontId="24" fillId="3" borderId="5" xfId="1" applyNumberFormat="1" applyFont="1" applyFill="1" applyBorder="1"/>
    <xf numFmtId="164" fontId="24" fillId="6" borderId="5" xfId="1" applyNumberFormat="1" applyFont="1" applyFill="1" applyBorder="1"/>
    <xf numFmtId="9" fontId="26" fillId="8" borderId="7" xfId="0" applyNumberFormat="1" applyFont="1" applyFill="1" applyBorder="1"/>
    <xf numFmtId="164" fontId="24" fillId="3" borderId="7" xfId="1" applyNumberFormat="1" applyFont="1" applyFill="1" applyBorder="1"/>
    <xf numFmtId="164" fontId="24" fillId="6" borderId="7" xfId="1" applyNumberFormat="1" applyFont="1" applyFill="1" applyBorder="1"/>
    <xf numFmtId="164" fontId="24" fillId="3" borderId="8" xfId="1" applyNumberFormat="1" applyFont="1" applyFill="1" applyBorder="1"/>
    <xf numFmtId="9" fontId="26" fillId="8" borderId="0" xfId="0" applyNumberFormat="1" applyFont="1" applyFill="1" applyBorder="1" applyAlignment="1">
      <alignment horizontal="center"/>
    </xf>
    <xf numFmtId="9" fontId="26" fillId="8" borderId="5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23" fillId="6" borderId="0" xfId="0" applyFont="1" applyFill="1" applyAlignment="1">
      <alignment horizontal="center" wrapText="1"/>
    </xf>
    <xf numFmtId="0" fontId="14" fillId="3" borderId="0" xfId="0" applyFont="1" applyFill="1"/>
    <xf numFmtId="0" fontId="27" fillId="3" borderId="0" xfId="0" applyFont="1" applyFill="1"/>
    <xf numFmtId="0" fontId="24" fillId="9" borderId="0" xfId="0" applyFont="1" applyFill="1"/>
    <xf numFmtId="8" fontId="23" fillId="9" borderId="0" xfId="0" applyNumberFormat="1" applyFont="1" applyFill="1"/>
    <xf numFmtId="0" fontId="23" fillId="9" borderId="0" xfId="0" applyFont="1" applyFill="1"/>
    <xf numFmtId="0" fontId="24" fillId="3" borderId="0" xfId="0" applyFont="1" applyFill="1"/>
    <xf numFmtId="8" fontId="23" fillId="3" borderId="0" xfId="0" applyNumberFormat="1" applyFont="1" applyFill="1"/>
    <xf numFmtId="0" fontId="9" fillId="7" borderId="0" xfId="0" applyFont="1" applyFill="1"/>
    <xf numFmtId="0" fontId="23" fillId="10" borderId="0" xfId="0" applyFont="1" applyFill="1"/>
    <xf numFmtId="0" fontId="21" fillId="10" borderId="0" xfId="0" applyFont="1" applyFill="1"/>
    <xf numFmtId="0" fontId="24" fillId="10" borderId="0" xfId="0" applyFont="1" applyFill="1" applyAlignment="1">
      <alignment horizontal="center"/>
    </xf>
    <xf numFmtId="0" fontId="23" fillId="11" borderId="0" xfId="0" applyFont="1" applyFill="1"/>
    <xf numFmtId="0" fontId="21" fillId="11" borderId="0" xfId="0" applyFont="1" applyFill="1"/>
    <xf numFmtId="0" fontId="23" fillId="11" borderId="0" xfId="0" applyFont="1" applyFill="1" applyAlignment="1">
      <alignment horizontal="center" wrapText="1"/>
    </xf>
    <xf numFmtId="0" fontId="22" fillId="6" borderId="1" xfId="0" applyFont="1" applyFill="1" applyBorder="1"/>
    <xf numFmtId="0" fontId="21" fillId="6" borderId="2" xfId="0" applyFont="1" applyFill="1" applyBorder="1"/>
    <xf numFmtId="0" fontId="22" fillId="6" borderId="4" xfId="0" applyFont="1" applyFill="1" applyBorder="1"/>
    <xf numFmtId="0" fontId="21" fillId="6" borderId="0" xfId="0" applyFont="1" applyFill="1" applyBorder="1"/>
  </cellXfs>
  <cellStyles count="17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/>
    <cellStyle name="Normal" xfId="0" builtinId="0"/>
    <cellStyle name="Percent" xfId="11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ipinkhandelw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"/>
  <cols>
    <col min="1" max="1" width="6.33203125" style="3" customWidth="1"/>
    <col min="2" max="5" width="10.83203125" style="3"/>
    <col min="6" max="7" width="11" style="3" customWidth="1"/>
    <col min="8" max="8" width="10.83203125" style="3"/>
    <col min="9" max="9" width="22.5" style="3" bestFit="1" customWidth="1"/>
    <col min="10" max="10" width="17.33203125" style="3" customWidth="1"/>
    <col min="11" max="13" width="10.83203125" style="3"/>
    <col min="14" max="14" width="0" style="3" hidden="1" customWidth="1"/>
    <col min="15" max="15" width="6" style="3" hidden="1" customWidth="1"/>
    <col min="16" max="18" width="0" style="3" hidden="1" customWidth="1"/>
    <col min="19" max="16384" width="10.83203125" style="3"/>
  </cols>
  <sheetData>
    <row r="1" spans="1:18" ht="23">
      <c r="A1" s="17" t="s">
        <v>45</v>
      </c>
      <c r="H1" s="4" t="s">
        <v>9</v>
      </c>
      <c r="N1" s="22" t="s">
        <v>3</v>
      </c>
      <c r="O1" s="22"/>
      <c r="P1" s="23">
        <f>((1+I20)/(1+I21))-1</f>
        <v>-9.2592592592593004E-3</v>
      </c>
      <c r="Q1" s="24">
        <f>IF(I27=I26,I27+0.001%,I27)</f>
        <v>0.05</v>
      </c>
      <c r="R1" s="22">
        <f>((1+I26)^I6-(1+Q1)^I6)/(I26-Q1)</f>
        <v>132.49265464187849</v>
      </c>
    </row>
    <row r="2" spans="1:18">
      <c r="E2" s="6" t="s">
        <v>17</v>
      </c>
      <c r="F2" s="6"/>
      <c r="G2" s="6"/>
    </row>
    <row r="3" spans="1:18" ht="18">
      <c r="A3" s="7">
        <v>1</v>
      </c>
      <c r="B3" s="7" t="s">
        <v>5</v>
      </c>
      <c r="C3" s="7"/>
      <c r="D3" s="7"/>
      <c r="E3" s="7"/>
      <c r="F3" s="7"/>
      <c r="G3" s="7"/>
      <c r="H3" s="7"/>
      <c r="I3" s="14">
        <v>36</v>
      </c>
      <c r="J3" s="3" t="s">
        <v>6</v>
      </c>
    </row>
    <row r="4" spans="1:18" ht="18">
      <c r="A4" s="7">
        <v>2</v>
      </c>
      <c r="B4" s="7" t="s">
        <v>7</v>
      </c>
      <c r="C4" s="7"/>
      <c r="D4" s="7"/>
      <c r="E4" s="7"/>
      <c r="F4" s="7"/>
      <c r="G4" s="7"/>
      <c r="H4" s="7"/>
      <c r="I4" s="14">
        <v>60</v>
      </c>
      <c r="J4" s="3" t="s">
        <v>6</v>
      </c>
    </row>
    <row r="5" spans="1:18" ht="18">
      <c r="A5" s="7">
        <v>3</v>
      </c>
      <c r="B5" s="7" t="s">
        <v>8</v>
      </c>
      <c r="C5" s="7"/>
      <c r="D5" s="7"/>
      <c r="E5" s="7"/>
      <c r="F5" s="12"/>
      <c r="G5" s="12"/>
      <c r="H5" s="7"/>
      <c r="I5" s="14">
        <v>85</v>
      </c>
      <c r="J5" s="3" t="s">
        <v>6</v>
      </c>
    </row>
    <row r="6" spans="1:18" ht="18">
      <c r="A6" s="7">
        <v>4</v>
      </c>
      <c r="B6" s="7" t="s">
        <v>26</v>
      </c>
      <c r="C6" s="7"/>
      <c r="D6" s="7"/>
      <c r="E6" s="7"/>
      <c r="F6" s="7"/>
      <c r="G6" s="7"/>
      <c r="H6" s="7"/>
      <c r="I6" s="15">
        <f>I4-I3</f>
        <v>24</v>
      </c>
      <c r="J6" s="1"/>
    </row>
    <row r="7" spans="1:18" ht="18">
      <c r="A7" s="7">
        <v>5</v>
      </c>
      <c r="B7" s="7" t="s">
        <v>0</v>
      </c>
      <c r="C7" s="7"/>
      <c r="D7" s="7"/>
      <c r="E7" s="7"/>
      <c r="F7" s="7"/>
      <c r="G7" s="7"/>
      <c r="H7" s="7"/>
      <c r="I7" s="15">
        <f>I5-I4</f>
        <v>25</v>
      </c>
      <c r="J7" s="1"/>
    </row>
    <row r="8" spans="1:18" ht="18">
      <c r="A8" s="7"/>
      <c r="B8" s="7"/>
      <c r="C8" s="7"/>
      <c r="D8" s="7"/>
      <c r="E8" s="7"/>
      <c r="F8" s="7"/>
      <c r="G8" s="7"/>
      <c r="H8" s="7"/>
      <c r="I8" s="7"/>
    </row>
    <row r="9" spans="1:18" ht="18">
      <c r="A9" s="7">
        <v>6</v>
      </c>
      <c r="B9" s="7" t="s">
        <v>44</v>
      </c>
      <c r="C9" s="7"/>
      <c r="D9" s="7"/>
      <c r="E9" s="7"/>
      <c r="F9" s="8"/>
      <c r="G9" s="8"/>
      <c r="H9" s="7"/>
      <c r="I9" s="9">
        <v>75000</v>
      </c>
      <c r="J9" s="1" t="s">
        <v>15</v>
      </c>
    </row>
    <row r="10" spans="1:18" ht="18">
      <c r="A10" s="7">
        <v>7</v>
      </c>
      <c r="B10" s="7" t="s">
        <v>37</v>
      </c>
      <c r="C10" s="7"/>
      <c r="D10" s="7"/>
      <c r="E10" s="7"/>
      <c r="F10" s="8"/>
      <c r="G10" s="8"/>
      <c r="H10" s="7"/>
      <c r="I10" s="9">
        <v>0</v>
      </c>
      <c r="J10" s="1" t="s">
        <v>10</v>
      </c>
    </row>
    <row r="11" spans="1:18" ht="18">
      <c r="A11" s="2">
        <v>8</v>
      </c>
      <c r="B11" s="2" t="s">
        <v>34</v>
      </c>
      <c r="C11" s="2"/>
      <c r="D11" s="2"/>
      <c r="E11" s="2"/>
      <c r="F11" s="10"/>
      <c r="G11" s="10"/>
      <c r="H11" s="2"/>
      <c r="I11" s="11">
        <f>I9-I10</f>
        <v>75000</v>
      </c>
      <c r="J11" s="1"/>
    </row>
    <row r="12" spans="1:18" ht="18">
      <c r="A12" s="2">
        <v>9</v>
      </c>
      <c r="B12" s="2" t="s">
        <v>35</v>
      </c>
      <c r="C12" s="2"/>
      <c r="D12" s="2"/>
      <c r="E12" s="2"/>
      <c r="F12" s="10"/>
      <c r="G12" s="10"/>
      <c r="H12" s="2"/>
      <c r="I12" s="11">
        <f>I11*12</f>
        <v>900000</v>
      </c>
    </row>
    <row r="13" spans="1:18" ht="18">
      <c r="A13" s="7"/>
      <c r="B13" s="7"/>
      <c r="C13" s="7"/>
      <c r="D13" s="7"/>
      <c r="E13" s="7"/>
      <c r="F13" s="7"/>
      <c r="G13" s="7"/>
      <c r="H13" s="7"/>
      <c r="I13" s="7"/>
    </row>
    <row r="14" spans="1:18" ht="18">
      <c r="A14" s="7">
        <v>10</v>
      </c>
      <c r="B14" s="7" t="s">
        <v>33</v>
      </c>
      <c r="C14" s="7"/>
      <c r="D14" s="7"/>
      <c r="E14" s="7"/>
      <c r="F14" s="8"/>
      <c r="G14" s="8"/>
      <c r="H14" s="7"/>
      <c r="I14" s="9">
        <v>50000</v>
      </c>
      <c r="J14" s="1"/>
    </row>
    <row r="15" spans="1:18" ht="18">
      <c r="A15" s="2">
        <v>11</v>
      </c>
      <c r="B15" s="2" t="s">
        <v>36</v>
      </c>
      <c r="C15" s="2"/>
      <c r="D15" s="2"/>
      <c r="E15" s="2"/>
      <c r="F15" s="10"/>
      <c r="G15" s="10"/>
      <c r="H15" s="2"/>
      <c r="I15" s="11">
        <f>I12+I14</f>
        <v>950000</v>
      </c>
    </row>
    <row r="16" spans="1:18" ht="18">
      <c r="A16" s="7"/>
      <c r="B16" s="7"/>
      <c r="C16" s="7"/>
      <c r="D16" s="7"/>
      <c r="E16" s="7"/>
      <c r="F16" s="7"/>
      <c r="G16" s="7"/>
      <c r="H16" s="7"/>
      <c r="I16" s="7"/>
    </row>
    <row r="17" spans="1:10" ht="18">
      <c r="A17" s="7">
        <v>12</v>
      </c>
      <c r="B17" s="7" t="s">
        <v>11</v>
      </c>
      <c r="C17" s="7"/>
      <c r="D17" s="7"/>
      <c r="E17" s="7"/>
      <c r="F17" s="12"/>
      <c r="G17" s="12"/>
      <c r="H17" s="7"/>
      <c r="I17" s="20">
        <v>0.1</v>
      </c>
      <c r="J17" s="1" t="s">
        <v>16</v>
      </c>
    </row>
    <row r="18" spans="1:10" s="29" customFormat="1" ht="25">
      <c r="A18" s="28">
        <v>13</v>
      </c>
      <c r="B18" s="28" t="s">
        <v>1</v>
      </c>
      <c r="C18" s="28"/>
      <c r="D18" s="28"/>
      <c r="E18" s="28"/>
      <c r="F18" s="34"/>
      <c r="G18" s="34"/>
      <c r="H18" s="28"/>
      <c r="I18" s="35">
        <f>I15*(1+I17)^I6</f>
        <v>9357246.0420172457</v>
      </c>
    </row>
    <row r="19" spans="1:10" ht="18">
      <c r="A19" s="7"/>
      <c r="B19" s="7"/>
      <c r="C19" s="7"/>
      <c r="D19" s="7"/>
      <c r="E19" s="7"/>
      <c r="F19" s="7"/>
      <c r="G19" s="7"/>
      <c r="H19" s="7"/>
      <c r="I19" s="7"/>
    </row>
    <row r="20" spans="1:10" ht="18">
      <c r="A20" s="7">
        <v>14</v>
      </c>
      <c r="B20" s="7" t="s">
        <v>2</v>
      </c>
      <c r="C20" s="7"/>
      <c r="D20" s="7"/>
      <c r="E20" s="7"/>
      <c r="F20" s="12"/>
      <c r="G20" s="12"/>
      <c r="H20" s="7"/>
      <c r="I20" s="20">
        <v>7.0000000000000007E-2</v>
      </c>
      <c r="J20" s="1" t="s">
        <v>4</v>
      </c>
    </row>
    <row r="21" spans="1:10" ht="18">
      <c r="A21" s="7">
        <v>15</v>
      </c>
      <c r="B21" s="7" t="s">
        <v>12</v>
      </c>
      <c r="C21" s="7"/>
      <c r="D21" s="7"/>
      <c r="E21" s="7"/>
      <c r="F21" s="12"/>
      <c r="G21" s="12"/>
      <c r="H21" s="7"/>
      <c r="I21" s="20">
        <v>0.08</v>
      </c>
      <c r="J21" s="1" t="s">
        <v>16</v>
      </c>
    </row>
    <row r="22" spans="1:10" ht="18">
      <c r="A22" s="7"/>
      <c r="B22" s="7"/>
      <c r="C22" s="7"/>
      <c r="D22" s="7"/>
      <c r="E22" s="7"/>
      <c r="F22" s="7"/>
      <c r="G22" s="7"/>
      <c r="H22" s="7"/>
      <c r="I22" s="7"/>
    </row>
    <row r="23" spans="1:10" s="29" customFormat="1" ht="25">
      <c r="A23" s="28">
        <v>16</v>
      </c>
      <c r="B23" s="28" t="s">
        <v>25</v>
      </c>
      <c r="C23" s="28"/>
      <c r="D23" s="28"/>
      <c r="E23" s="28"/>
      <c r="H23" s="27">
        <f>I4</f>
        <v>60</v>
      </c>
      <c r="I23" s="30">
        <f>PV(P1,I7,-I18,)</f>
        <v>264596713.99868199</v>
      </c>
    </row>
    <row r="24" spans="1:10" s="29" customFormat="1" ht="25">
      <c r="A24" s="28">
        <v>17</v>
      </c>
      <c r="B24" s="28" t="s">
        <v>86</v>
      </c>
      <c r="C24" s="28"/>
      <c r="D24" s="28"/>
      <c r="E24" s="28"/>
      <c r="H24" s="28"/>
      <c r="I24" s="31">
        <f>I23/10^7</f>
        <v>26.459671399868199</v>
      </c>
      <c r="J24" s="32" t="s">
        <v>27</v>
      </c>
    </row>
    <row r="25" spans="1:10" ht="18">
      <c r="A25" s="7"/>
      <c r="B25" s="7"/>
      <c r="C25" s="7"/>
      <c r="D25" s="7"/>
      <c r="E25" s="7"/>
      <c r="F25" s="7"/>
      <c r="G25" s="7"/>
      <c r="H25" s="7"/>
      <c r="I25" s="7"/>
    </row>
    <row r="26" spans="1:10" ht="18">
      <c r="A26" s="7">
        <v>18</v>
      </c>
      <c r="B26" s="7" t="s">
        <v>24</v>
      </c>
      <c r="C26" s="7"/>
      <c r="D26" s="7"/>
      <c r="E26" s="7"/>
      <c r="F26" s="12"/>
      <c r="G26" s="12"/>
      <c r="H26" s="7"/>
      <c r="I26" s="13">
        <v>0.1</v>
      </c>
      <c r="J26" s="1" t="s">
        <v>4</v>
      </c>
    </row>
    <row r="27" spans="1:10" ht="18">
      <c r="A27" s="2">
        <v>19</v>
      </c>
      <c r="B27" s="2" t="s">
        <v>23</v>
      </c>
      <c r="C27" s="7"/>
      <c r="D27" s="7"/>
      <c r="E27" s="7"/>
      <c r="F27" s="7"/>
      <c r="G27" s="7"/>
      <c r="H27" s="7"/>
      <c r="I27" s="37">
        <v>0.05</v>
      </c>
      <c r="J27" s="1"/>
    </row>
    <row r="28" spans="1:10" ht="18">
      <c r="A28" s="7"/>
      <c r="B28" s="7"/>
      <c r="C28" s="7"/>
      <c r="D28" s="7"/>
      <c r="E28" s="7"/>
      <c r="F28" s="7"/>
      <c r="G28" s="7"/>
      <c r="H28" s="7"/>
      <c r="I28" s="7"/>
    </row>
    <row r="29" spans="1:10" ht="18">
      <c r="A29" s="2">
        <v>20</v>
      </c>
      <c r="B29" s="2" t="s">
        <v>22</v>
      </c>
      <c r="C29" s="2"/>
      <c r="D29" s="2"/>
      <c r="E29" s="2"/>
      <c r="F29" s="10"/>
      <c r="G29" s="10"/>
      <c r="H29" s="2"/>
      <c r="I29" s="16">
        <v>1000000</v>
      </c>
      <c r="J29" s="5"/>
    </row>
    <row r="30" spans="1:10" ht="18">
      <c r="A30" s="7">
        <v>21</v>
      </c>
      <c r="B30" s="7" t="s">
        <v>39</v>
      </c>
      <c r="C30" s="7"/>
      <c r="D30" s="7"/>
      <c r="E30" s="7"/>
      <c r="F30" s="12"/>
      <c r="G30" s="12"/>
      <c r="H30" s="7"/>
      <c r="I30" s="20">
        <v>0.09</v>
      </c>
      <c r="J30" s="1" t="s">
        <v>4</v>
      </c>
    </row>
    <row r="31" spans="1:10" ht="18">
      <c r="A31" s="2">
        <v>22</v>
      </c>
      <c r="B31" s="2" t="s">
        <v>42</v>
      </c>
      <c r="C31" s="2"/>
      <c r="D31" s="2"/>
      <c r="E31" s="2"/>
      <c r="F31" s="10"/>
      <c r="G31" s="10"/>
      <c r="H31" s="2"/>
      <c r="I31" s="11">
        <f>FV(I30,I6,,-I29,)</f>
        <v>7911083.1746818274</v>
      </c>
    </row>
    <row r="32" spans="1:10" ht="18">
      <c r="A32" s="7"/>
      <c r="B32" s="7"/>
      <c r="C32" s="7"/>
      <c r="D32" s="7"/>
      <c r="E32" s="7"/>
      <c r="F32" s="7"/>
      <c r="G32" s="7"/>
      <c r="H32" s="7"/>
      <c r="I32" s="7"/>
    </row>
    <row r="33" spans="1:13" ht="18">
      <c r="A33" s="7">
        <v>23</v>
      </c>
      <c r="B33" s="7" t="s">
        <v>43</v>
      </c>
      <c r="C33" s="7"/>
      <c r="D33" s="7"/>
      <c r="E33" s="7"/>
      <c r="F33" s="7"/>
      <c r="G33" s="7"/>
      <c r="H33" s="7"/>
      <c r="I33" s="16">
        <v>10000000</v>
      </c>
      <c r="J33" s="5" t="s">
        <v>38</v>
      </c>
    </row>
    <row r="34" spans="1:13" ht="18">
      <c r="A34" s="7"/>
      <c r="B34" s="7"/>
      <c r="C34" s="7"/>
      <c r="D34" s="7"/>
      <c r="E34" s="7"/>
      <c r="F34" s="7"/>
      <c r="G34" s="7"/>
      <c r="H34" s="7"/>
      <c r="I34" s="7"/>
    </row>
    <row r="35" spans="1:13" s="29" customFormat="1" ht="25">
      <c r="A35" s="28">
        <v>24</v>
      </c>
      <c r="B35" s="28" t="s">
        <v>40</v>
      </c>
      <c r="F35" s="34"/>
      <c r="G35" s="34"/>
      <c r="I35" s="30">
        <f>I23-I33-I31</f>
        <v>246685630.82400018</v>
      </c>
    </row>
    <row r="36" spans="1:13" s="29" customFormat="1" ht="25">
      <c r="A36" s="28">
        <v>25</v>
      </c>
      <c r="B36" s="28" t="s">
        <v>40</v>
      </c>
      <c r="C36" s="28"/>
      <c r="D36" s="28"/>
      <c r="E36" s="28"/>
      <c r="H36" s="28"/>
      <c r="I36" s="31">
        <f>I35/10^7</f>
        <v>24.668563082400016</v>
      </c>
      <c r="J36" s="32" t="s">
        <v>27</v>
      </c>
    </row>
    <row r="37" spans="1:13" ht="18">
      <c r="A37" s="2"/>
      <c r="B37" s="2"/>
      <c r="C37" s="2"/>
      <c r="D37" s="2"/>
      <c r="E37" s="2"/>
      <c r="F37" s="2"/>
      <c r="G37" s="2"/>
      <c r="H37" s="2"/>
      <c r="I37" s="7"/>
    </row>
    <row r="38" spans="1:13" ht="20">
      <c r="A38" s="25">
        <v>26</v>
      </c>
      <c r="B38" s="25" t="s">
        <v>21</v>
      </c>
      <c r="C38" s="25"/>
      <c r="D38" s="25"/>
      <c r="E38" s="25"/>
      <c r="F38" s="33"/>
      <c r="G38" s="33"/>
      <c r="H38" s="25"/>
      <c r="I38" s="36">
        <f>I35/R1</f>
        <v>1861881.5623460789</v>
      </c>
      <c r="J38" s="1"/>
    </row>
    <row r="39" spans="1:13" ht="20">
      <c r="A39" s="26">
        <v>27</v>
      </c>
      <c r="B39" s="26" t="s">
        <v>28</v>
      </c>
      <c r="C39" s="26"/>
      <c r="D39" s="26"/>
      <c r="E39" s="26"/>
      <c r="F39" s="33"/>
      <c r="G39" s="33"/>
      <c r="H39" s="26"/>
      <c r="I39" s="36">
        <f>PMT(I26/12,12,,-I38,)</f>
        <v>148173.28978463463</v>
      </c>
      <c r="J39" s="1"/>
    </row>
    <row r="40" spans="1:13" ht="18">
      <c r="L40" s="21" t="s">
        <v>32</v>
      </c>
      <c r="M40" s="21"/>
    </row>
    <row r="41" spans="1:13">
      <c r="L41" s="18" t="s">
        <v>13</v>
      </c>
      <c r="M41" s="19">
        <f>I39*(1+I$27)</f>
        <v>155581.95427386637</v>
      </c>
    </row>
    <row r="42" spans="1:13">
      <c r="L42" s="18" t="s">
        <v>29</v>
      </c>
      <c r="M42" s="19">
        <f>M41*(1+I$27)</f>
        <v>163361.05198755971</v>
      </c>
    </row>
    <row r="43" spans="1:13">
      <c r="L43" s="18" t="s">
        <v>30</v>
      </c>
      <c r="M43" s="19">
        <f>M42*(1+I$27)</f>
        <v>171529.1045869377</v>
      </c>
    </row>
    <row r="44" spans="1:13" ht="18">
      <c r="A44" s="2" t="s">
        <v>14</v>
      </c>
      <c r="B44" s="7"/>
      <c r="L44" s="18" t="s">
        <v>31</v>
      </c>
      <c r="M44" s="19">
        <f>M43*(1+I$27)</f>
        <v>180105.5598162846</v>
      </c>
    </row>
    <row r="45" spans="1:13" ht="18">
      <c r="A45" s="2">
        <v>1</v>
      </c>
      <c r="B45" s="7" t="s">
        <v>20</v>
      </c>
    </row>
    <row r="46" spans="1:13" ht="18">
      <c r="A46" s="2">
        <f>A45+1</f>
        <v>2</v>
      </c>
      <c r="B46" s="7" t="s">
        <v>18</v>
      </c>
    </row>
    <row r="47" spans="1:13" ht="18">
      <c r="A47" s="2">
        <f t="shared" ref="A47:A49" si="0">A46+1</f>
        <v>3</v>
      </c>
      <c r="B47" s="7" t="s">
        <v>19</v>
      </c>
    </row>
    <row r="48" spans="1:13" ht="18">
      <c r="A48" s="2">
        <f t="shared" si="0"/>
        <v>4</v>
      </c>
      <c r="B48" s="7" t="s">
        <v>41</v>
      </c>
    </row>
    <row r="49" spans="1:2" ht="18">
      <c r="A49" s="2">
        <f t="shared" si="0"/>
        <v>5</v>
      </c>
      <c r="B49" s="7" t="s">
        <v>46</v>
      </c>
    </row>
    <row r="51" spans="1:2">
      <c r="A51" s="1" t="s">
        <v>47</v>
      </c>
    </row>
  </sheetData>
  <mergeCells count="1">
    <mergeCell ref="L40:M40"/>
  </mergeCells>
  <hyperlinks>
    <hyperlink ref="H1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7"/>
  <sheetViews>
    <sheetView workbookViewId="0">
      <selection activeCell="D24" sqref="D24"/>
    </sheetView>
  </sheetViews>
  <sheetFormatPr baseColWidth="10" defaultRowHeight="15" x14ac:dyDescent="0"/>
  <cols>
    <col min="6" max="6" width="13.33203125" bestFit="1" customWidth="1"/>
    <col min="7" max="7" width="14" bestFit="1" customWidth="1"/>
    <col min="8" max="8" width="12.1640625" bestFit="1" customWidth="1"/>
  </cols>
  <sheetData>
    <row r="3" spans="2:11">
      <c r="G3" s="41" t="s">
        <v>48</v>
      </c>
    </row>
    <row r="4" spans="2:11">
      <c r="F4" s="39">
        <v>0.08</v>
      </c>
      <c r="G4" s="39">
        <v>0.1</v>
      </c>
      <c r="H4" s="39">
        <v>0.12</v>
      </c>
    </row>
    <row r="5" spans="2:11">
      <c r="D5" s="41" t="s">
        <v>49</v>
      </c>
      <c r="E5" s="39">
        <v>0</v>
      </c>
      <c r="F5" s="38">
        <f>IF(E5=F4,E5+0.001%,E5)</f>
        <v>0</v>
      </c>
      <c r="G5" s="38">
        <f>IF(E5=G4,E5+0.001%,E5)</f>
        <v>0</v>
      </c>
      <c r="H5" s="38">
        <f>IF(E5=H4,E5+0.001%,E5)</f>
        <v>0</v>
      </c>
    </row>
    <row r="6" spans="2:11">
      <c r="D6" s="41" t="s">
        <v>51</v>
      </c>
      <c r="E6" s="39">
        <v>0.05</v>
      </c>
      <c r="F6" s="38">
        <f>IF(E6=F4,E6+0.001%,E6)</f>
        <v>0.05</v>
      </c>
      <c r="G6" s="38">
        <f>IF(E6=G4,E6+0.001%,E6)</f>
        <v>0.05</v>
      </c>
      <c r="H6" s="38">
        <f>IF(E6=H4,E6+0.001%,E6)</f>
        <v>0.05</v>
      </c>
    </row>
    <row r="7" spans="2:11">
      <c r="D7" s="41" t="s">
        <v>50</v>
      </c>
      <c r="E7" s="39">
        <v>0.1</v>
      </c>
      <c r="F7" s="38">
        <f>IF(E7=F4,E7+0.001%,E7)</f>
        <v>0.1</v>
      </c>
      <c r="G7" s="38">
        <f>IF(E7=G4,E7+0.001%,E7)</f>
        <v>0.10001</v>
      </c>
      <c r="H7" s="38">
        <f>IF(E7=H4,E7+0.001%,E7)</f>
        <v>0.1</v>
      </c>
    </row>
    <row r="9" spans="2:11">
      <c r="D9" t="s">
        <v>52</v>
      </c>
      <c r="G9" s="40">
        <f>'Retirement Planning Calculator'!I35</f>
        <v>246685630.82400018</v>
      </c>
      <c r="I9" t="s">
        <v>53</v>
      </c>
      <c r="K9">
        <f>'Retirement Planning Calculator'!I6</f>
        <v>24</v>
      </c>
    </row>
    <row r="11" spans="2:11">
      <c r="G11" s="41" t="s">
        <v>48</v>
      </c>
    </row>
    <row r="12" spans="2:11">
      <c r="F12" s="39">
        <v>0.08</v>
      </c>
      <c r="G12" s="39">
        <v>0.1</v>
      </c>
      <c r="H12" s="39">
        <v>0.12</v>
      </c>
    </row>
    <row r="13" spans="2:11">
      <c r="B13" t="s">
        <v>56</v>
      </c>
      <c r="D13" s="41" t="s">
        <v>49</v>
      </c>
      <c r="E13" s="39">
        <v>0</v>
      </c>
      <c r="F13" s="42">
        <f>((1+F12)^$K$9-(1+F5)^$K$9)/(F12-F5)</f>
        <v>66.764759215501428</v>
      </c>
      <c r="G13" s="42">
        <f>((1+G12)^$K$9-(1+G5)^$K$9)/(G12-G5)</f>
        <v>88.497326758076255</v>
      </c>
      <c r="H13" s="42">
        <f>((1+H12)^$K$9-(1+H5)^$K$9)/(H12-H5)</f>
        <v>118.15524112085349</v>
      </c>
    </row>
    <row r="14" spans="2:11">
      <c r="B14" t="s">
        <v>57</v>
      </c>
      <c r="D14" s="41" t="s">
        <v>51</v>
      </c>
      <c r="E14" s="39">
        <v>0.05</v>
      </c>
      <c r="F14" s="42">
        <f>((1+F12)^$K$9-(1+F6)^$K$9)/(F12-F6)</f>
        <v>103.86935978421381</v>
      </c>
      <c r="G14" s="42">
        <f>((1+G12)^$K$9-(1+G6)^$K$9)/(G12-G6)</f>
        <v>132.49265464187849</v>
      </c>
      <c r="H14" s="42">
        <f>((1+H12)^$K$9-(1+H6)^$K$9)/(H12-H6)</f>
        <v>170.76469986841028</v>
      </c>
    </row>
    <row r="15" spans="2:11">
      <c r="D15" s="41" t="s">
        <v>50</v>
      </c>
      <c r="E15" s="39">
        <v>0.1</v>
      </c>
      <c r="F15" s="42">
        <f>((1+F12)^$K$9-(1+F7)^$K$9)/(F12-F7)</f>
        <v>175.42759692837555</v>
      </c>
      <c r="G15" s="42">
        <f>((1+G12)^$K$9-(1+G7)^$K$9)/(G12-G7)</f>
        <v>214.92572703598063</v>
      </c>
      <c r="H15" s="42">
        <f>((1+H12)^$K$9-(1+H7)^$K$9)/(H12-H7)</f>
        <v>266.44481293473973</v>
      </c>
    </row>
    <row r="17" spans="2:8">
      <c r="G17" s="41" t="s">
        <v>48</v>
      </c>
    </row>
    <row r="18" spans="2:8">
      <c r="F18" s="39">
        <v>0.08</v>
      </c>
      <c r="G18" s="39">
        <v>0.1</v>
      </c>
      <c r="H18" s="39">
        <v>0.12</v>
      </c>
    </row>
    <row r="19" spans="2:8">
      <c r="B19" t="s">
        <v>54</v>
      </c>
      <c r="D19" s="41" t="s">
        <v>49</v>
      </c>
      <c r="E19" s="39">
        <v>0</v>
      </c>
      <c r="F19" s="43">
        <f>$G$9/F13</f>
        <v>3694847.9066292322</v>
      </c>
      <c r="G19" s="43">
        <f t="shared" ref="G19:H19" si="0">$G$9/G13</f>
        <v>2787492.4572395366</v>
      </c>
      <c r="H19" s="43">
        <f t="shared" si="0"/>
        <v>2087809.4656138115</v>
      </c>
    </row>
    <row r="20" spans="2:8">
      <c r="B20" t="s">
        <v>55</v>
      </c>
      <c r="D20" s="41" t="s">
        <v>51</v>
      </c>
      <c r="E20" s="39">
        <v>0.05</v>
      </c>
      <c r="F20" s="43">
        <f t="shared" ref="F20:H20" si="1">$G$9/F14</f>
        <v>2374960.5402063117</v>
      </c>
      <c r="G20" s="43">
        <f t="shared" si="1"/>
        <v>1861881.5623460789</v>
      </c>
      <c r="H20" s="43">
        <f t="shared" si="1"/>
        <v>1444593.8242159761</v>
      </c>
    </row>
    <row r="21" spans="2:8">
      <c r="D21" s="41" t="s">
        <v>50</v>
      </c>
      <c r="E21" s="39">
        <v>0.1</v>
      </c>
      <c r="F21" s="43">
        <f t="shared" ref="F21:H21" si="2">$G$9/F15</f>
        <v>1406196.2606984705</v>
      </c>
      <c r="G21" s="43">
        <f t="shared" si="2"/>
        <v>1147771.5312448503</v>
      </c>
      <c r="H21" s="43">
        <f t="shared" si="2"/>
        <v>925841.37070223561</v>
      </c>
    </row>
    <row r="23" spans="2:8">
      <c r="F23" s="41" t="s">
        <v>60</v>
      </c>
    </row>
    <row r="24" spans="2:8">
      <c r="D24" s="44" t="s">
        <v>61</v>
      </c>
      <c r="F24" s="39">
        <v>0.08</v>
      </c>
      <c r="G24" s="39">
        <v>0.1</v>
      </c>
      <c r="H24" s="39">
        <v>0.12</v>
      </c>
    </row>
    <row r="25" spans="2:8">
      <c r="B25" t="s">
        <v>58</v>
      </c>
      <c r="D25" s="44" t="s">
        <v>49</v>
      </c>
      <c r="E25" s="39">
        <v>0</v>
      </c>
      <c r="F25" s="43">
        <f>PMT(F24/12,12,,-F19,)</f>
        <v>296776.69572970521</v>
      </c>
      <c r="G25" s="43">
        <f>PMT(G24/12,12,,-G19,)</f>
        <v>221835.76871484399</v>
      </c>
      <c r="H25" s="43">
        <f>PMT(H24/12,12,,-H19,)</f>
        <v>164621.24735482491</v>
      </c>
    </row>
    <row r="26" spans="2:8">
      <c r="B26" t="s">
        <v>59</v>
      </c>
      <c r="D26" s="44" t="s">
        <v>51</v>
      </c>
      <c r="E26" s="39">
        <v>0.05</v>
      </c>
      <c r="F26" s="43">
        <f>PMT(F24/12,12,,-F20,)</f>
        <v>190761.01626436797</v>
      </c>
      <c r="G26" s="43">
        <f>PMT(G24/12,12,,-G20,)</f>
        <v>148173.28978463463</v>
      </c>
      <c r="H26" s="43">
        <f>PMT(H24/12,12,,-H20,)</f>
        <v>113904.47317164297</v>
      </c>
    </row>
    <row r="27" spans="2:8">
      <c r="D27" s="44" t="s">
        <v>50</v>
      </c>
      <c r="E27" s="39">
        <v>0.1</v>
      </c>
      <c r="F27" s="43">
        <f>PMT(F24/12,12,,-F21,)</f>
        <v>112948.16196596337</v>
      </c>
      <c r="G27" s="43">
        <f>PMT(G24/12,12,,-G21,)</f>
        <v>91342.589746363941</v>
      </c>
      <c r="H27" s="43">
        <f>PMT(H24/12,12,,-H21,)</f>
        <v>73001.470588166776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"/>
  <cols>
    <col min="1" max="1" width="10.83203125" style="45"/>
    <col min="2" max="2" width="12.83203125" style="45" customWidth="1"/>
    <col min="3" max="3" width="11" style="45" bestFit="1" customWidth="1"/>
    <col min="4" max="4" width="15" style="45" customWidth="1"/>
    <col min="5" max="5" width="14" style="45" customWidth="1"/>
    <col min="6" max="6" width="15" style="45" customWidth="1"/>
    <col min="7" max="16384" width="10.83203125" style="45"/>
  </cols>
  <sheetData>
    <row r="1" spans="1:8" ht="25">
      <c r="A1" s="65" t="s">
        <v>69</v>
      </c>
      <c r="F1" s="64" t="s">
        <v>73</v>
      </c>
      <c r="G1" s="64"/>
      <c r="H1" s="64"/>
    </row>
    <row r="3" spans="1:8" ht="18">
      <c r="A3" s="66" t="s">
        <v>71</v>
      </c>
      <c r="B3" s="66"/>
      <c r="C3" s="66"/>
      <c r="D3" s="66"/>
      <c r="E3" s="67">
        <f>'Retirement Planning Calculator'!I24</f>
        <v>26.459671399868199</v>
      </c>
      <c r="F3" s="68" t="s">
        <v>27</v>
      </c>
    </row>
    <row r="4" spans="1:8" ht="18">
      <c r="A4" s="69" t="s">
        <v>70</v>
      </c>
      <c r="B4" s="69"/>
      <c r="C4" s="69"/>
      <c r="D4" s="69"/>
      <c r="E4" s="70">
        <f>'Retirement Planning Calculator'!I36</f>
        <v>24.668563082400016</v>
      </c>
      <c r="F4" s="46" t="s">
        <v>27</v>
      </c>
    </row>
    <row r="5" spans="1:8" ht="18">
      <c r="A5" s="66" t="s">
        <v>74</v>
      </c>
      <c r="B5" s="66"/>
      <c r="C5" s="66"/>
      <c r="D5" s="66"/>
      <c r="E5" s="68">
        <f>'Retirement Planning Calculator'!I6</f>
        <v>24</v>
      </c>
      <c r="F5" s="68" t="s">
        <v>75</v>
      </c>
    </row>
    <row r="7" spans="1:8" ht="18">
      <c r="B7" s="72" t="s">
        <v>84</v>
      </c>
      <c r="C7" s="73"/>
      <c r="D7" s="74" t="s">
        <v>83</v>
      </c>
      <c r="E7" s="74" t="s">
        <v>82</v>
      </c>
      <c r="F7" s="74" t="s">
        <v>81</v>
      </c>
    </row>
    <row r="8" spans="1:8" ht="54">
      <c r="B8" s="75" t="s">
        <v>85</v>
      </c>
      <c r="C8" s="76"/>
      <c r="D8" s="77" t="s">
        <v>66</v>
      </c>
      <c r="E8" s="63" t="s">
        <v>67</v>
      </c>
      <c r="F8" s="77" t="s">
        <v>68</v>
      </c>
    </row>
    <row r="9" spans="1:8" ht="18">
      <c r="B9" s="78" t="s">
        <v>64</v>
      </c>
      <c r="C9" s="79"/>
      <c r="D9" s="47" t="s">
        <v>72</v>
      </c>
      <c r="E9" s="48"/>
      <c r="F9" s="49"/>
    </row>
    <row r="10" spans="1:8" ht="18">
      <c r="B10" s="80" t="s">
        <v>65</v>
      </c>
      <c r="C10" s="81"/>
      <c r="D10" s="59">
        <v>0.08</v>
      </c>
      <c r="E10" s="59">
        <v>0.1</v>
      </c>
      <c r="F10" s="60">
        <v>0.12</v>
      </c>
    </row>
    <row r="11" spans="1:8" ht="18">
      <c r="B11" s="61" t="s">
        <v>63</v>
      </c>
      <c r="C11" s="50">
        <v>0</v>
      </c>
      <c r="D11" s="51">
        <f>Sheet1!F25</f>
        <v>296776.69572970521</v>
      </c>
      <c r="E11" s="52">
        <f>Sheet1!G25</f>
        <v>221835.76871484399</v>
      </c>
      <c r="F11" s="53">
        <f>Sheet1!H25</f>
        <v>164621.24735482491</v>
      </c>
    </row>
    <row r="12" spans="1:8" ht="18">
      <c r="B12" s="61" t="s">
        <v>62</v>
      </c>
      <c r="C12" s="50">
        <v>0.05</v>
      </c>
      <c r="D12" s="52">
        <f>Sheet1!F26</f>
        <v>190761.01626436797</v>
      </c>
      <c r="E12" s="52">
        <f>Sheet1!G26</f>
        <v>148173.28978463463</v>
      </c>
      <c r="F12" s="54">
        <f>Sheet1!H26</f>
        <v>113904.47317164297</v>
      </c>
    </row>
    <row r="13" spans="1:8" ht="18">
      <c r="B13" s="62" t="s">
        <v>55</v>
      </c>
      <c r="C13" s="55">
        <v>0.1</v>
      </c>
      <c r="D13" s="56">
        <f>Sheet1!F27</f>
        <v>112948.16196596337</v>
      </c>
      <c r="E13" s="57">
        <f>Sheet1!G27</f>
        <v>91342.589746363941</v>
      </c>
      <c r="F13" s="58">
        <f>Sheet1!H27</f>
        <v>73001.470588166776</v>
      </c>
    </row>
    <row r="16" spans="1:8">
      <c r="A16" s="71" t="s">
        <v>77</v>
      </c>
      <c r="B16" s="45" t="s">
        <v>76</v>
      </c>
    </row>
    <row r="17" spans="2:2">
      <c r="B17" s="45" t="s">
        <v>79</v>
      </c>
    </row>
    <row r="18" spans="2:2">
      <c r="B18" s="45" t="s">
        <v>78</v>
      </c>
    </row>
    <row r="19" spans="2:2">
      <c r="B19" s="45" t="s">
        <v>80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Retirement Planning Calculator</vt:lpstr>
      <vt:lpstr>Sheet1</vt:lpstr>
      <vt:lpstr>9 Scenarios</vt:lpstr>
    </vt:vector>
  </TitlesOfParts>
  <Company>vipinkhandelwal.com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 Khandelwal</dc:creator>
  <cp:lastModifiedBy>Vipin Khandelwal</cp:lastModifiedBy>
  <dcterms:created xsi:type="dcterms:W3CDTF">2015-11-14T15:22:30Z</dcterms:created>
  <dcterms:modified xsi:type="dcterms:W3CDTF">2016-05-31T11:29:39Z</dcterms:modified>
</cp:coreProperties>
</file>